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11640" activeTab="0"/>
  </bookViews>
  <sheets>
    <sheet name="Investi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Elmar</author>
    <author>Br?gging</author>
  </authors>
  <commentList>
    <comment ref="C14" authorId="0">
      <text>
        <r>
          <rPr>
            <b/>
            <sz val="8"/>
            <rFont val="Tahoma"/>
            <family val="0"/>
          </rPr>
          <t>Energiegehalt Methan=9,94kWh;
Biogas (60% Methan)=6,00kWh
=0,6l Heizöl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0"/>
          </rPr>
          <t>Nach der Rechnung:
tägl. Gülleaufkommen * mittlere Verweilzeit
Schweinemast: 0,038m³/GV*d
Rindermast: 0,042m³/GV*d
Geflügelmast: 0,059m³/GV*d</t>
        </r>
      </text>
    </comment>
    <comment ref="C17" authorId="0">
      <text>
        <r>
          <rPr>
            <b/>
            <sz val="8"/>
            <rFont val="Tahoma"/>
            <family val="0"/>
          </rPr>
          <t>Tägl. Stromerzeugung:
tägl. Gasproduktion*Verstromungsfaktor
Biogas [m³/d]* 2,0 kWh</t>
        </r>
        <r>
          <rPr>
            <b/>
            <vertAlign val="subscript"/>
            <sz val="8"/>
            <rFont val="Tahoma"/>
            <family val="2"/>
          </rPr>
          <t>el</t>
        </r>
        <r>
          <rPr>
            <b/>
            <sz val="8"/>
            <rFont val="Tahoma"/>
            <family val="2"/>
          </rPr>
          <t>/m³ Biogas
Elektrische Leistung des BHKW:
Tägliche Stromerzeugzung/(24h/d)</t>
        </r>
      </text>
    </comment>
    <comment ref="C33" authorId="0">
      <text>
        <r>
          <rPr>
            <b/>
            <sz val="8"/>
            <rFont val="Tahoma"/>
            <family val="0"/>
          </rPr>
          <t>Je kW inst. Leistung bei Gas-Otto bzw Zündstrahlmotoren rechnet man mit Anschaffungskosten von 500 bis 750 €/kW</t>
        </r>
      </text>
    </comment>
    <comment ref="C3" authorId="0">
      <text>
        <r>
          <rPr>
            <b/>
            <sz val="8"/>
            <rFont val="Tahoma"/>
            <family val="0"/>
          </rPr>
          <t>Gelb hinterlegte Zellen können spezifisch verändert werden. 
Hinter anderen Zellen befinden sich Rechenformeln die bei einer Veränderung bzw. Neueingabe gelöscht werden.</t>
        </r>
        <r>
          <rPr>
            <sz val="8"/>
            <rFont val="Tahoma"/>
            <family val="0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0"/>
          </rPr>
          <t>NawaRo:
 Nachwachsende Rohstoffe wie z.B. Silomais, Schlempe
KWK:
Kraft-Wärme-Kopplung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<sst xmlns="http://schemas.openxmlformats.org/spreadsheetml/2006/main" count="138" uniqueCount="80">
  <si>
    <t>Geschätzter Energieertrag</t>
  </si>
  <si>
    <t>Gaserzeugung aus</t>
  </si>
  <si>
    <t>Wirtschaftsdünger</t>
  </si>
  <si>
    <t>Rindergülle</t>
  </si>
  <si>
    <t>Schweinegülle</t>
  </si>
  <si>
    <t>Geflügelkot</t>
  </si>
  <si>
    <t>Co-Fermentation</t>
  </si>
  <si>
    <t>Silomais</t>
  </si>
  <si>
    <t>Futterreste</t>
  </si>
  <si>
    <t>Einstreu</t>
  </si>
  <si>
    <t>GV</t>
  </si>
  <si>
    <t>Gasertrag</t>
  </si>
  <si>
    <t>m³/GV*d</t>
  </si>
  <si>
    <t>Bruttoenergieerzeugung:</t>
  </si>
  <si>
    <t>keine Gasverwertung oder -produktion an:</t>
  </si>
  <si>
    <t>Verfügbarkeit</t>
  </si>
  <si>
    <t>[%]</t>
  </si>
  <si>
    <t>[d/a]</t>
  </si>
  <si>
    <t>Energiegehalt Substrat</t>
  </si>
  <si>
    <t>[m³/a]</t>
  </si>
  <si>
    <t>[kWh/m³]</t>
  </si>
  <si>
    <t>[kWh/a]</t>
  </si>
  <si>
    <t>Verwendbare thermische Energie</t>
  </si>
  <si>
    <t>notw. BHKW-Leistung + 20% Zuschlag</t>
  </si>
  <si>
    <t>[kW]</t>
  </si>
  <si>
    <t>Motorlaufzeit</t>
  </si>
  <si>
    <t>[h/a]</t>
  </si>
  <si>
    <t>Verwendbare elektrische Energie</t>
  </si>
  <si>
    <t>[€/kWh]</t>
  </si>
  <si>
    <t>[€/a]</t>
  </si>
  <si>
    <t>Summe Erträge</t>
  </si>
  <si>
    <t>gewonnene thermische Energie:</t>
  </si>
  <si>
    <t>Summe Gasertrag</t>
  </si>
  <si>
    <t>[kWh/m³ Fermenter*a]</t>
  </si>
  <si>
    <t xml:space="preserve">Investitionsbedarf </t>
  </si>
  <si>
    <t>Bau und Technik</t>
  </si>
  <si>
    <t>[m³]</t>
  </si>
  <si>
    <t>Fermenterkosten [€/m³]</t>
  </si>
  <si>
    <t>Investitionssumme</t>
  </si>
  <si>
    <t>[€]</t>
  </si>
  <si>
    <t>Motor/Generator (nur Aggrgate)</t>
  </si>
  <si>
    <t>[€/kW]</t>
  </si>
  <si>
    <t>Gesamtinvestition</t>
  </si>
  <si>
    <t>Kapitalaufwand</t>
  </si>
  <si>
    <t>Zuschuß</t>
  </si>
  <si>
    <t>Geschätzte Jahreskosten</t>
  </si>
  <si>
    <t>Abschreibung</t>
  </si>
  <si>
    <t>Bau</t>
  </si>
  <si>
    <t>Technik</t>
  </si>
  <si>
    <t>Motor/Generator</t>
  </si>
  <si>
    <t>[Jahre]</t>
  </si>
  <si>
    <t>Zins</t>
  </si>
  <si>
    <t>Versicherung</t>
  </si>
  <si>
    <t>Reparaturen/Wartung</t>
  </si>
  <si>
    <t>Lohnansatz</t>
  </si>
  <si>
    <t>[[€/h]</t>
  </si>
  <si>
    <t>Notw. Elektrische Prozessenergie</t>
  </si>
  <si>
    <t>Zukaufspreis</t>
  </si>
  <si>
    <t>Gesamtsumme der Jahreskosten</t>
  </si>
  <si>
    <t>Rohstoffkosten für die Co-Fermentation</t>
  </si>
  <si>
    <t>[[€/t]</t>
  </si>
  <si>
    <t>[t/a]</t>
  </si>
  <si>
    <t>Unternehmerischer Gewinn [€/a]</t>
  </si>
  <si>
    <r>
      <t xml:space="preserve">Wirkungsgrad </t>
    </r>
    <r>
      <rPr>
        <vertAlign val="subscript"/>
        <sz val="8"/>
        <rFont val="Times New Roman"/>
        <family val="1"/>
      </rPr>
      <t>el</t>
    </r>
  </si>
  <si>
    <t>[d]</t>
  </si>
  <si>
    <t>Bruttoenergieerzeugung: Substrat</t>
  </si>
  <si>
    <t>gewonnene elektrische Energie</t>
  </si>
  <si>
    <t>Fermentervolumen</t>
  </si>
  <si>
    <t>mittlere Verweilzeit</t>
  </si>
  <si>
    <t>abzügl. therm. Prozessenergie</t>
  </si>
  <si>
    <t>Corn-Cob-Mix</t>
  </si>
  <si>
    <t>Grassilage</t>
  </si>
  <si>
    <t>t/a</t>
  </si>
  <si>
    <t>m³/t</t>
  </si>
  <si>
    <t>Erfahrungswert der Landwirte aus Recke</t>
  </si>
  <si>
    <t>bis 150 kW</t>
  </si>
  <si>
    <t>bis 500 kW</t>
  </si>
  <si>
    <t>bis 5.000 kW</t>
  </si>
  <si>
    <t>über 5.000 kW</t>
  </si>
  <si>
    <t>Einnahmen aus Stromverkauf nach EEG 2004 für NawaRo und KWK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</si>
</sst>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_-* #,##0.00\ [$€-1]_-;\-* #,##0.00\ [$€-1]_-;_-* &quot;-&quot;??\ [$€-1]_-"/>
    <numFmt numFmtId="166" formatCode="0.0000"/>
    <numFmt numFmtId="167" formatCode="0.000"/>
    <numFmt numFmtId="168" formatCode="#,##0.00\ _D_M"/>
    <numFmt numFmtId="169" formatCode="#,##0.0"/>
    <numFmt numFmtId="170" formatCode="0.0000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vertAlign val="subscript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Tahoma"/>
      <family val="2"/>
    </font>
    <font>
      <b/>
      <i/>
      <sz val="8"/>
      <name val="Times New Roman"/>
      <family val="1"/>
    </font>
    <font>
      <sz val="8"/>
      <color indexed="9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4" fontId="6" fillId="2" borderId="4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10" fontId="6" fillId="2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0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0" fontId="6" fillId="0" borderId="2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8" xfId="0" applyFont="1" applyFill="1" applyBorder="1" applyAlignment="1">
      <alignment/>
    </xf>
    <xf numFmtId="4" fontId="5" fillId="3" borderId="8" xfId="0" applyNumberFormat="1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/>
    </xf>
    <xf numFmtId="4" fontId="5" fillId="3" borderId="10" xfId="0" applyNumberFormat="1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5" fillId="0" borderId="2" xfId="0" applyFont="1" applyBorder="1" applyAlignment="1">
      <alignment/>
    </xf>
    <xf numFmtId="4" fontId="5" fillId="0" borderId="2" xfId="0" applyNumberFormat="1" applyFont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7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3" fontId="6" fillId="0" borderId="2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5" fillId="3" borderId="10" xfId="0" applyFont="1" applyFill="1" applyBorder="1" applyAlignment="1">
      <alignment/>
    </xf>
    <xf numFmtId="4" fontId="5" fillId="3" borderId="17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12" xfId="0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/>
    </xf>
    <xf numFmtId="4" fontId="5" fillId="4" borderId="2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8" xfId="0" applyFont="1" applyFill="1" applyBorder="1" applyAlignment="1">
      <alignment wrapText="1"/>
    </xf>
    <xf numFmtId="0" fontId="6" fillId="4" borderId="19" xfId="0" applyFont="1" applyFill="1" applyBorder="1" applyAlignment="1">
      <alignment wrapText="1"/>
    </xf>
    <xf numFmtId="0" fontId="6" fillId="4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/>
    </xf>
    <xf numFmtId="4" fontId="5" fillId="4" borderId="10" xfId="0" applyNumberFormat="1" applyFont="1" applyFill="1" applyBorder="1" applyAlignment="1">
      <alignment horizontal="center"/>
    </xf>
    <xf numFmtId="4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wrapText="1"/>
    </xf>
    <xf numFmtId="3" fontId="6" fillId="2" borderId="2" xfId="0" applyNumberFormat="1" applyFont="1" applyFill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6" fillId="3" borderId="8" xfId="0" applyNumberFormat="1" applyFont="1" applyFill="1" applyBorder="1" applyAlignment="1">
      <alignment/>
    </xf>
    <xf numFmtId="3" fontId="6" fillId="3" borderId="9" xfId="0" applyNumberFormat="1" applyFont="1" applyFill="1" applyBorder="1" applyAlignment="1">
      <alignment/>
    </xf>
    <xf numFmtId="3" fontId="12" fillId="0" borderId="7" xfId="0" applyNumberFormat="1" applyFont="1" applyBorder="1" applyAlignment="1">
      <alignment horizontal="center"/>
    </xf>
    <xf numFmtId="43" fontId="0" fillId="0" borderId="0" xfId="16" applyAlignment="1">
      <alignment/>
    </xf>
    <xf numFmtId="2" fontId="0" fillId="0" borderId="0" xfId="0" applyNumberFormat="1" applyAlignment="1">
      <alignment/>
    </xf>
    <xf numFmtId="2" fontId="0" fillId="0" borderId="0" xfId="16" applyNumberFormat="1" applyAlignment="1">
      <alignment/>
    </xf>
    <xf numFmtId="1" fontId="6" fillId="0" borderId="2" xfId="0" applyNumberFormat="1" applyFont="1" applyBorder="1" applyAlignment="1">
      <alignment horizontal="center"/>
    </xf>
    <xf numFmtId="43" fontId="0" fillId="0" borderId="0" xfId="16" applyAlignment="1">
      <alignment horizontal="right"/>
    </xf>
    <xf numFmtId="4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3" borderId="10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workbookViewId="0" topLeftCell="A1">
      <selection activeCell="G31" sqref="G31:I31"/>
    </sheetView>
  </sheetViews>
  <sheetFormatPr defaultColWidth="11.421875" defaultRowHeight="12.75"/>
  <cols>
    <col min="1" max="1" width="28.28125" style="1" customWidth="1"/>
    <col min="2" max="2" width="14.57421875" style="0" customWidth="1"/>
    <col min="3" max="3" width="7.00390625" style="0" bestFit="1" customWidth="1"/>
    <col min="4" max="4" width="16.57421875" style="0" bestFit="1" customWidth="1"/>
    <col min="5" max="5" width="5.7109375" style="0" bestFit="1" customWidth="1"/>
    <col min="6" max="6" width="9.57421875" style="0" bestFit="1" customWidth="1"/>
    <col min="7" max="7" width="14.57421875" style="0" bestFit="1" customWidth="1"/>
    <col min="8" max="8" width="11.7109375" style="0" bestFit="1" customWidth="1"/>
    <col min="9" max="9" width="10.8515625" style="0" bestFit="1" customWidth="1"/>
    <col min="11" max="11" width="5.00390625" style="0" bestFit="1" customWidth="1"/>
    <col min="12" max="12" width="8.421875" style="0" customWidth="1"/>
    <col min="13" max="13" width="7.421875" style="0" customWidth="1"/>
    <col min="14" max="14" width="14.7109375" style="0" bestFit="1" customWidth="1"/>
  </cols>
  <sheetData>
    <row r="1" spans="1:9" ht="12.75">
      <c r="A1" s="40" t="s">
        <v>0</v>
      </c>
      <c r="B1" s="39"/>
      <c r="C1" s="6"/>
      <c r="D1" s="6"/>
      <c r="E1" s="6"/>
      <c r="F1" s="6"/>
      <c r="G1" s="6"/>
      <c r="H1" s="79" t="s">
        <v>11</v>
      </c>
      <c r="I1" s="80"/>
    </row>
    <row r="2" spans="1:9" ht="12.75">
      <c r="A2" s="41" t="s">
        <v>1</v>
      </c>
      <c r="B2" s="35"/>
      <c r="C2" s="7"/>
      <c r="D2" s="7"/>
      <c r="E2" s="7"/>
      <c r="F2" s="7"/>
      <c r="G2" s="7"/>
      <c r="H2" s="10"/>
      <c r="I2" s="31"/>
    </row>
    <row r="3" spans="1:14" ht="12.75">
      <c r="A3" s="41" t="s">
        <v>2</v>
      </c>
      <c r="B3" s="35" t="s">
        <v>3</v>
      </c>
      <c r="C3" s="23">
        <v>0</v>
      </c>
      <c r="D3" s="7" t="s">
        <v>10</v>
      </c>
      <c r="E3" s="10">
        <v>1.11</v>
      </c>
      <c r="F3" s="7" t="s">
        <v>12</v>
      </c>
      <c r="G3" s="7"/>
      <c r="H3" s="12">
        <f>C3*E3*365</f>
        <v>0</v>
      </c>
      <c r="I3" s="11" t="s">
        <v>19</v>
      </c>
      <c r="J3" s="74"/>
      <c r="M3" s="74"/>
      <c r="N3" s="73"/>
    </row>
    <row r="4" spans="1:14" ht="12.75">
      <c r="A4" s="41"/>
      <c r="B4" s="35" t="s">
        <v>4</v>
      </c>
      <c r="C4" s="23">
        <v>200</v>
      </c>
      <c r="D4" s="7" t="s">
        <v>10</v>
      </c>
      <c r="E4" s="10">
        <v>0.88</v>
      </c>
      <c r="F4" s="7" t="s">
        <v>12</v>
      </c>
      <c r="G4" s="7"/>
      <c r="H4" s="12">
        <f>C4*E4*365</f>
        <v>64240</v>
      </c>
      <c r="I4" s="11" t="s">
        <v>19</v>
      </c>
      <c r="J4" s="74"/>
      <c r="M4" s="74"/>
      <c r="N4" s="73"/>
    </row>
    <row r="5" spans="1:14" ht="12.75">
      <c r="A5" s="41"/>
      <c r="B5" s="35" t="s">
        <v>5</v>
      </c>
      <c r="C5" s="23"/>
      <c r="D5" s="7" t="s">
        <v>10</v>
      </c>
      <c r="E5" s="10">
        <v>3.75</v>
      </c>
      <c r="F5" s="7" t="s">
        <v>12</v>
      </c>
      <c r="G5" s="7"/>
      <c r="H5" s="12">
        <f>C5*E5*365</f>
        <v>0</v>
      </c>
      <c r="I5" s="11" t="s">
        <v>19</v>
      </c>
      <c r="J5" s="74"/>
      <c r="M5" s="74"/>
      <c r="N5" s="73"/>
    </row>
    <row r="6" spans="1:14" ht="12.75">
      <c r="A6" s="41"/>
      <c r="B6" s="35"/>
      <c r="C6" s="10"/>
      <c r="D6" s="7"/>
      <c r="E6" s="10"/>
      <c r="F6" s="7"/>
      <c r="G6" s="7"/>
      <c r="H6" s="12"/>
      <c r="I6" s="11"/>
      <c r="M6" s="74"/>
      <c r="N6" s="73"/>
    </row>
    <row r="7" spans="1:14" ht="12.75">
      <c r="A7" s="41" t="s">
        <v>6</v>
      </c>
      <c r="B7" s="35" t="s">
        <v>7</v>
      </c>
      <c r="C7" s="66">
        <v>6000</v>
      </c>
      <c r="D7" s="7" t="s">
        <v>72</v>
      </c>
      <c r="E7" s="10">
        <v>240</v>
      </c>
      <c r="F7" s="7" t="s">
        <v>73</v>
      </c>
      <c r="G7" s="7"/>
      <c r="H7" s="12">
        <f>C7*E7</f>
        <v>1440000</v>
      </c>
      <c r="I7" s="11" t="s">
        <v>19</v>
      </c>
      <c r="M7" s="74"/>
      <c r="N7" s="73"/>
    </row>
    <row r="8" spans="1:16" ht="12.75">
      <c r="A8" s="41"/>
      <c r="B8" s="35" t="s">
        <v>70</v>
      </c>
      <c r="C8" s="66">
        <v>0</v>
      </c>
      <c r="D8" s="7" t="s">
        <v>72</v>
      </c>
      <c r="E8" s="10">
        <v>500</v>
      </c>
      <c r="F8" s="7" t="s">
        <v>73</v>
      </c>
      <c r="G8" s="7"/>
      <c r="H8" s="12">
        <f>C8*E8</f>
        <v>0</v>
      </c>
      <c r="I8" s="11" t="s">
        <v>19</v>
      </c>
      <c r="M8" s="74"/>
      <c r="N8" s="77"/>
      <c r="P8" s="78"/>
    </row>
    <row r="9" spans="1:9" ht="12.75">
      <c r="A9" s="41"/>
      <c r="B9" s="35" t="s">
        <v>8</v>
      </c>
      <c r="C9" s="23">
        <v>0</v>
      </c>
      <c r="D9" s="7" t="s">
        <v>72</v>
      </c>
      <c r="E9" s="10">
        <v>180</v>
      </c>
      <c r="F9" s="7" t="s">
        <v>73</v>
      </c>
      <c r="G9" s="7"/>
      <c r="H9" s="12">
        <f>C9*E9</f>
        <v>0</v>
      </c>
      <c r="I9" s="11" t="s">
        <v>19</v>
      </c>
    </row>
    <row r="10" spans="1:9" ht="12.75">
      <c r="A10" s="41"/>
      <c r="B10" s="35" t="s">
        <v>71</v>
      </c>
      <c r="C10" s="23"/>
      <c r="D10" s="7" t="s">
        <v>72</v>
      </c>
      <c r="E10" s="10">
        <v>45</v>
      </c>
      <c r="F10" s="7" t="s">
        <v>73</v>
      </c>
      <c r="G10" s="7"/>
      <c r="H10" s="12">
        <f>C10*E10</f>
        <v>0</v>
      </c>
      <c r="I10" s="11" t="s">
        <v>19</v>
      </c>
    </row>
    <row r="11" spans="1:12" ht="12.75">
      <c r="A11" s="41"/>
      <c r="B11" s="35"/>
      <c r="C11" s="10"/>
      <c r="D11" s="7"/>
      <c r="E11" s="10"/>
      <c r="F11" s="7"/>
      <c r="G11" s="32" t="s">
        <v>32</v>
      </c>
      <c r="H11" s="33">
        <f>SUM(H3:H10)</f>
        <v>1504240</v>
      </c>
      <c r="I11" s="21" t="s">
        <v>19</v>
      </c>
      <c r="K11" s="74"/>
      <c r="L11" s="74"/>
    </row>
    <row r="12" spans="1:14" ht="45">
      <c r="A12" s="41" t="s">
        <v>13</v>
      </c>
      <c r="B12" s="35" t="s">
        <v>14</v>
      </c>
      <c r="C12" s="23">
        <v>30</v>
      </c>
      <c r="D12" s="7" t="s">
        <v>17</v>
      </c>
      <c r="E12" s="10"/>
      <c r="F12" s="7"/>
      <c r="G12" s="7"/>
      <c r="H12" s="10"/>
      <c r="I12" s="11"/>
      <c r="K12" s="74"/>
      <c r="L12" s="74"/>
      <c r="N12" s="73"/>
    </row>
    <row r="13" spans="1:12" ht="12.75">
      <c r="A13" s="41"/>
      <c r="B13" s="35" t="s">
        <v>15</v>
      </c>
      <c r="C13" s="22">
        <f>1-(C12/365)</f>
        <v>0.9178082191780822</v>
      </c>
      <c r="D13" s="7" t="s">
        <v>16</v>
      </c>
      <c r="E13" s="10"/>
      <c r="F13" s="7"/>
      <c r="G13" s="7"/>
      <c r="H13" s="10"/>
      <c r="I13" s="11"/>
      <c r="K13" s="74"/>
      <c r="L13" s="74"/>
    </row>
    <row r="14" spans="1:12" ht="22.5">
      <c r="A14" s="41"/>
      <c r="B14" s="35" t="s">
        <v>18</v>
      </c>
      <c r="C14" s="34">
        <v>6</v>
      </c>
      <c r="D14" s="7" t="s">
        <v>20</v>
      </c>
      <c r="E14" s="10"/>
      <c r="F14" s="7"/>
      <c r="G14" s="7"/>
      <c r="H14" s="12"/>
      <c r="I14" s="11"/>
      <c r="K14" s="74"/>
      <c r="L14" s="74"/>
    </row>
    <row r="15" spans="1:12" ht="12.75">
      <c r="A15" s="41"/>
      <c r="B15" s="35" t="s">
        <v>63</v>
      </c>
      <c r="C15" s="22">
        <v>0.35</v>
      </c>
      <c r="D15" s="7" t="s">
        <v>16</v>
      </c>
      <c r="E15" s="10"/>
      <c r="F15" s="7"/>
      <c r="G15" s="7"/>
      <c r="H15" s="12"/>
      <c r="I15" s="11"/>
      <c r="K15" s="75"/>
      <c r="L15" s="75"/>
    </row>
    <row r="16" spans="1:9" ht="12.75">
      <c r="A16" s="41"/>
      <c r="B16" s="35" t="s">
        <v>25</v>
      </c>
      <c r="C16" s="45">
        <f>(365-C12)*24</f>
        <v>8040</v>
      </c>
      <c r="D16" s="7" t="s">
        <v>26</v>
      </c>
      <c r="E16" s="10"/>
      <c r="F16" s="10"/>
      <c r="G16" s="10"/>
      <c r="H16" s="12"/>
      <c r="I16" s="11"/>
    </row>
    <row r="17" spans="1:9" ht="33.75">
      <c r="A17" s="41"/>
      <c r="B17" s="35" t="s">
        <v>23</v>
      </c>
      <c r="C17" s="69">
        <f>ROUND((H11/365*C14*C15/(C16/365))*1.2,-1)</f>
        <v>470</v>
      </c>
      <c r="D17" s="32" t="s">
        <v>24</v>
      </c>
      <c r="E17" s="10"/>
      <c r="F17" s="76"/>
      <c r="G17" s="76"/>
      <c r="H17" s="33">
        <f>(H11/8760)*C16*C14</f>
        <v>8283623.01369863</v>
      </c>
      <c r="I17" s="21" t="s">
        <v>21</v>
      </c>
    </row>
    <row r="18" spans="1:9" ht="21">
      <c r="A18" s="52" t="s">
        <v>65</v>
      </c>
      <c r="B18" s="53"/>
      <c r="C18" s="54"/>
      <c r="D18" s="55"/>
      <c r="E18" s="54"/>
      <c r="F18" s="55"/>
      <c r="G18" s="55"/>
      <c r="H18" s="56">
        <f>SUM(H17)</f>
        <v>8283623.01369863</v>
      </c>
      <c r="I18" s="57" t="s">
        <v>21</v>
      </c>
    </row>
    <row r="19" spans="1:9" ht="12.75">
      <c r="A19" s="41" t="s">
        <v>31</v>
      </c>
      <c r="B19" s="35"/>
      <c r="C19" s="22">
        <v>0.5</v>
      </c>
      <c r="D19" s="7" t="s">
        <v>16</v>
      </c>
      <c r="E19" s="10"/>
      <c r="F19" s="7"/>
      <c r="G19" s="7"/>
      <c r="H19" s="12">
        <f>C19*H18</f>
        <v>4141811.506849315</v>
      </c>
      <c r="I19" s="11" t="s">
        <v>21</v>
      </c>
    </row>
    <row r="20" spans="1:9" ht="22.5">
      <c r="A20" s="41"/>
      <c r="B20" s="35" t="s">
        <v>69</v>
      </c>
      <c r="C20" s="23">
        <v>350</v>
      </c>
      <c r="D20" s="7" t="s">
        <v>33</v>
      </c>
      <c r="E20" s="10"/>
      <c r="F20" s="7"/>
      <c r="G20" s="7"/>
      <c r="H20" s="12">
        <f>C20*C30</f>
        <v>385000</v>
      </c>
      <c r="I20" s="11" t="s">
        <v>21</v>
      </c>
    </row>
    <row r="21" spans="1:9" ht="21">
      <c r="A21" s="41" t="s">
        <v>22</v>
      </c>
      <c r="B21" s="35"/>
      <c r="C21" s="10"/>
      <c r="D21" s="7"/>
      <c r="E21" s="10"/>
      <c r="F21" s="7"/>
      <c r="G21" s="7"/>
      <c r="H21" s="33">
        <f>H19-H20</f>
        <v>3756811.506849315</v>
      </c>
      <c r="I21" s="21" t="s">
        <v>21</v>
      </c>
    </row>
    <row r="22" spans="1:9" ht="12.75">
      <c r="A22" s="41" t="s">
        <v>66</v>
      </c>
      <c r="B22" s="35"/>
      <c r="C22" s="10"/>
      <c r="D22" s="7"/>
      <c r="E22" s="10"/>
      <c r="F22" s="7"/>
      <c r="G22" s="7"/>
      <c r="H22" s="33">
        <f>C15*H18</f>
        <v>2899268.05479452</v>
      </c>
      <c r="I22" s="21" t="s">
        <v>21</v>
      </c>
    </row>
    <row r="23" spans="1:9" ht="21">
      <c r="A23" s="41" t="s">
        <v>27</v>
      </c>
      <c r="B23" s="35"/>
      <c r="C23" s="10"/>
      <c r="D23" s="7"/>
      <c r="E23" s="10"/>
      <c r="F23" s="7"/>
      <c r="G23" s="7"/>
      <c r="H23" s="33">
        <f>H22</f>
        <v>2899268.05479452</v>
      </c>
      <c r="I23" s="21" t="s">
        <v>21</v>
      </c>
    </row>
    <row r="24" spans="1:9" ht="12.75">
      <c r="A24" s="89" t="s">
        <v>79</v>
      </c>
      <c r="B24" s="38" t="s">
        <v>75</v>
      </c>
      <c r="C24" s="46">
        <v>0.195</v>
      </c>
      <c r="D24" s="47" t="s">
        <v>28</v>
      </c>
      <c r="E24" s="72">
        <f>IF(C17&gt;150,150,C17)</f>
        <v>150</v>
      </c>
      <c r="F24" s="72">
        <f>150*C16</f>
        <v>1206000</v>
      </c>
      <c r="G24" s="68"/>
      <c r="H24" s="67">
        <f>IF(H23&gt;F24,F24*C24,H23*C24)</f>
        <v>235170</v>
      </c>
      <c r="I24" s="48" t="s">
        <v>29</v>
      </c>
    </row>
    <row r="25" spans="1:9" ht="12.75">
      <c r="A25" s="90"/>
      <c r="B25" s="38" t="s">
        <v>76</v>
      </c>
      <c r="C25" s="46">
        <v>0.179</v>
      </c>
      <c r="D25" s="47" t="s">
        <v>28</v>
      </c>
      <c r="E25" s="72">
        <f>IF((C17-E24)&gt;500.00001,350,(C17-E24))</f>
        <v>320</v>
      </c>
      <c r="F25" s="72">
        <f>350*C16</f>
        <v>2814000</v>
      </c>
      <c r="G25" s="68"/>
      <c r="H25" s="67">
        <f>IF((H23-F24)&lt;0,0,IF((H23-F24)&gt;F25,F25*C25,(H23-F24)*C25))</f>
        <v>303094.9818082191</v>
      </c>
      <c r="I25" s="48" t="s">
        <v>29</v>
      </c>
    </row>
    <row r="26" spans="1:9" ht="12.75">
      <c r="A26" s="90"/>
      <c r="B26" s="38" t="s">
        <v>77</v>
      </c>
      <c r="C26" s="46">
        <v>0.149</v>
      </c>
      <c r="D26" s="47" t="s">
        <v>28</v>
      </c>
      <c r="E26" s="72">
        <f>IF((C17-E24-E25)&gt;5000.00001,4500,C17-E24-E25)</f>
        <v>0</v>
      </c>
      <c r="F26" s="72">
        <f>4500*C16</f>
        <v>36180000</v>
      </c>
      <c r="G26" s="68"/>
      <c r="H26" s="67">
        <f>IF((H23-F24-F25)&lt;0,0,IF((H23-F24-F25)&gt;F26,F26*C26,(H23-F24-F25)*C26))</f>
        <v>0</v>
      </c>
      <c r="I26" s="48" t="s">
        <v>29</v>
      </c>
    </row>
    <row r="27" spans="1:9" ht="13.5" thickBot="1">
      <c r="A27" s="90"/>
      <c r="B27" s="38" t="s">
        <v>78</v>
      </c>
      <c r="C27" s="46">
        <v>0.144</v>
      </c>
      <c r="D27" s="47" t="s">
        <v>28</v>
      </c>
      <c r="E27" s="72">
        <f>C17-E24-E25-E26</f>
        <v>0</v>
      </c>
      <c r="F27" s="72"/>
      <c r="G27" s="68"/>
      <c r="H27" s="67">
        <f>IF((H23-F24-F25-F26)&lt;0,0,(H23-F24-F25-F26)*C27)</f>
        <v>0</v>
      </c>
      <c r="I27" s="48" t="s">
        <v>29</v>
      </c>
    </row>
    <row r="28" spans="1:9" ht="13.5" thickBot="1">
      <c r="A28" s="49" t="s">
        <v>30</v>
      </c>
      <c r="B28" s="27"/>
      <c r="C28" s="27"/>
      <c r="D28" s="27"/>
      <c r="E28" s="70"/>
      <c r="F28" s="70"/>
      <c r="G28" s="71"/>
      <c r="H28" s="50">
        <f>SUM(H24:H27)</f>
        <v>538264.9818082191</v>
      </c>
      <c r="I28" s="51" t="s">
        <v>29</v>
      </c>
    </row>
    <row r="29" spans="1:9" ht="12.75">
      <c r="A29" s="44" t="s">
        <v>34</v>
      </c>
      <c r="B29" s="6"/>
      <c r="C29" s="6"/>
      <c r="D29" s="6"/>
      <c r="E29" s="6"/>
      <c r="F29" s="6"/>
      <c r="G29" s="83" t="s">
        <v>37</v>
      </c>
      <c r="H29" s="83"/>
      <c r="I29" s="84"/>
    </row>
    <row r="30" spans="1:9" ht="22.5">
      <c r="A30" s="41" t="s">
        <v>35</v>
      </c>
      <c r="B30" s="35" t="s">
        <v>67</v>
      </c>
      <c r="C30" s="45">
        <f>ROUND(((C3*0.042*C31)+(C4*0.038*C31)+(C5*0.059*C31)+((C7/0.7/365)*C31)+((C8/0.85/365)*C31)+((C10/365)*C31)),-2)</f>
        <v>1100</v>
      </c>
      <c r="D30" s="7" t="s">
        <v>36</v>
      </c>
      <c r="E30" s="7"/>
      <c r="F30" s="7"/>
      <c r="G30" s="8">
        <v>200</v>
      </c>
      <c r="H30" s="8">
        <v>300</v>
      </c>
      <c r="I30" s="9">
        <v>450</v>
      </c>
    </row>
    <row r="31" spans="1:9" ht="22.5">
      <c r="A31" s="41"/>
      <c r="B31" s="35" t="s">
        <v>68</v>
      </c>
      <c r="C31" s="23">
        <v>35</v>
      </c>
      <c r="D31" s="7" t="s">
        <v>64</v>
      </c>
      <c r="E31" s="7"/>
      <c r="F31" s="7"/>
      <c r="G31" s="85" t="s">
        <v>39</v>
      </c>
      <c r="H31" s="85"/>
      <c r="I31" s="86"/>
    </row>
    <row r="32" spans="1:9" ht="22.5">
      <c r="A32" s="41"/>
      <c r="B32" s="35" t="s">
        <v>38</v>
      </c>
      <c r="C32" s="10"/>
      <c r="D32" s="7"/>
      <c r="E32" s="7"/>
      <c r="F32" s="7"/>
      <c r="G32" s="12">
        <f>$C$30*G30</f>
        <v>220000</v>
      </c>
      <c r="H32" s="12">
        <f>$C$30*H30</f>
        <v>330000</v>
      </c>
      <c r="I32" s="13">
        <f>$C$30*I30</f>
        <v>495000</v>
      </c>
    </row>
    <row r="33" spans="1:9" ht="23.25" thickBot="1">
      <c r="A33" s="65" t="s">
        <v>74</v>
      </c>
      <c r="B33" s="36" t="s">
        <v>40</v>
      </c>
      <c r="C33" s="15">
        <v>550</v>
      </c>
      <c r="D33" s="14" t="s">
        <v>41</v>
      </c>
      <c r="E33" s="14"/>
      <c r="F33" s="14"/>
      <c r="G33" s="16">
        <f>Investition!$C$17*Investition!$C$33</f>
        <v>258500</v>
      </c>
      <c r="H33" s="16">
        <f>Investition!$C$17*Investition!$C$33</f>
        <v>258500</v>
      </c>
      <c r="I33" s="17">
        <f>Investition!$C$17*Investition!$C$33</f>
        <v>258500</v>
      </c>
    </row>
    <row r="34" spans="1:9" ht="13.5" thickBot="1">
      <c r="A34" s="58" t="s">
        <v>42</v>
      </c>
      <c r="B34" s="59"/>
      <c r="C34" s="60"/>
      <c r="D34" s="61"/>
      <c r="E34" s="61"/>
      <c r="F34" s="61"/>
      <c r="G34" s="62">
        <f>SUM(G32:G33)</f>
        <v>478500</v>
      </c>
      <c r="H34" s="63">
        <f>SUM(H32:H33)</f>
        <v>588500</v>
      </c>
      <c r="I34" s="64">
        <f>SUM(I32:I33)</f>
        <v>753500</v>
      </c>
    </row>
    <row r="35" spans="1:9" ht="12.75">
      <c r="A35" s="40" t="s">
        <v>43</v>
      </c>
      <c r="B35" s="37" t="s">
        <v>44</v>
      </c>
      <c r="C35" s="18">
        <v>0</v>
      </c>
      <c r="D35" s="6" t="s">
        <v>16</v>
      </c>
      <c r="E35" s="6"/>
      <c r="F35" s="6"/>
      <c r="G35" s="19">
        <f>G34-(G34*$C$35)</f>
        <v>478500</v>
      </c>
      <c r="H35" s="19">
        <f>H34-(H34*$C$35)</f>
        <v>588500</v>
      </c>
      <c r="I35" s="20">
        <f>I34-(I34*$C$35)</f>
        <v>753500</v>
      </c>
    </row>
    <row r="36" spans="1:9" ht="12.75">
      <c r="A36" s="41"/>
      <c r="B36" s="35"/>
      <c r="C36" s="10"/>
      <c r="D36" s="7"/>
      <c r="E36" s="7"/>
      <c r="F36" s="7"/>
      <c r="G36" s="10"/>
      <c r="H36" s="10"/>
      <c r="I36" s="11"/>
    </row>
    <row r="37" spans="1:9" ht="12.75">
      <c r="A37" s="41" t="s">
        <v>45</v>
      </c>
      <c r="B37" s="35"/>
      <c r="C37" s="10"/>
      <c r="D37" s="7"/>
      <c r="E37" s="10"/>
      <c r="F37" s="7"/>
      <c r="G37" s="87" t="s">
        <v>29</v>
      </c>
      <c r="H37" s="87"/>
      <c r="I37" s="88"/>
    </row>
    <row r="38" spans="1:9" ht="12.75">
      <c r="A38" s="41" t="s">
        <v>46</v>
      </c>
      <c r="B38" s="35" t="s">
        <v>47</v>
      </c>
      <c r="C38" s="22">
        <v>0.6</v>
      </c>
      <c r="D38" s="7" t="s">
        <v>16</v>
      </c>
      <c r="E38" s="23">
        <v>20</v>
      </c>
      <c r="F38" s="7" t="s">
        <v>50</v>
      </c>
      <c r="G38" s="12">
        <f>(G32-G32*$C$35)/$E$38*$C$38</f>
        <v>6600</v>
      </c>
      <c r="H38" s="12">
        <f>(H32-H32*$C$35)/$E$38*$C$38</f>
        <v>9900</v>
      </c>
      <c r="I38" s="13">
        <f>(I32-I32*$C$35)/$E$38*$C$38</f>
        <v>14850</v>
      </c>
    </row>
    <row r="39" spans="1:9" ht="12.75">
      <c r="A39" s="41"/>
      <c r="B39" s="35" t="s">
        <v>48</v>
      </c>
      <c r="C39" s="24">
        <f>1-C38</f>
        <v>0.4</v>
      </c>
      <c r="D39" s="7" t="s">
        <v>16</v>
      </c>
      <c r="E39" s="23">
        <v>6</v>
      </c>
      <c r="F39" s="7" t="s">
        <v>50</v>
      </c>
      <c r="G39" s="12">
        <f>(G32-G32*$C$35)/$E$39*$C$39</f>
        <v>14666.666666666666</v>
      </c>
      <c r="H39" s="12">
        <f>(H32-H32*$C$35)/$E$39*$C$39</f>
        <v>22000</v>
      </c>
      <c r="I39" s="13">
        <f>(I32-I32*$C$35)/$E$39*$C$39</f>
        <v>33000</v>
      </c>
    </row>
    <row r="40" spans="1:9" ht="12.75">
      <c r="A40" s="41"/>
      <c r="B40" s="35" t="s">
        <v>49</v>
      </c>
      <c r="C40" s="10"/>
      <c r="D40" s="7"/>
      <c r="E40" s="23">
        <v>10</v>
      </c>
      <c r="F40" s="7" t="s">
        <v>50</v>
      </c>
      <c r="G40" s="12">
        <f>(G33-G33*$C$35)/$E$40</f>
        <v>25850</v>
      </c>
      <c r="H40" s="12">
        <f>(H33-H33*$C$35)/$E$40</f>
        <v>25850</v>
      </c>
      <c r="I40" s="13">
        <f>(I33-I33*$C$35)/$E$40</f>
        <v>25850</v>
      </c>
    </row>
    <row r="41" spans="1:9" ht="12.75">
      <c r="A41" s="41" t="s">
        <v>51</v>
      </c>
      <c r="B41" s="35"/>
      <c r="C41" s="22">
        <v>0.05</v>
      </c>
      <c r="D41" s="7" t="s">
        <v>16</v>
      </c>
      <c r="E41" s="10"/>
      <c r="F41" s="7"/>
      <c r="G41" s="12">
        <f>G35*$C$41</f>
        <v>23925</v>
      </c>
      <c r="H41" s="12">
        <f>H35*$C$41</f>
        <v>29425</v>
      </c>
      <c r="I41" s="13">
        <f>I35*$C$41</f>
        <v>37675</v>
      </c>
    </row>
    <row r="42" spans="1:9" ht="12.75">
      <c r="A42" s="41" t="s">
        <v>52</v>
      </c>
      <c r="B42" s="35"/>
      <c r="C42" s="22">
        <v>0.005</v>
      </c>
      <c r="D42" s="7" t="s">
        <v>16</v>
      </c>
      <c r="E42" s="10"/>
      <c r="F42" s="7"/>
      <c r="G42" s="12">
        <f>G35*$C$42</f>
        <v>2392.5</v>
      </c>
      <c r="H42" s="12">
        <f>H35*$C$42</f>
        <v>2942.5</v>
      </c>
      <c r="I42" s="13">
        <f>I35*$C$42</f>
        <v>3767.5</v>
      </c>
    </row>
    <row r="43" spans="1:9" ht="12.75">
      <c r="A43" s="41" t="s">
        <v>53</v>
      </c>
      <c r="B43" s="35" t="s">
        <v>47</v>
      </c>
      <c r="C43" s="22">
        <v>0.01</v>
      </c>
      <c r="D43" s="7" t="s">
        <v>16</v>
      </c>
      <c r="E43" s="10"/>
      <c r="F43" s="7"/>
      <c r="G43" s="12">
        <f>G32*$C$38*$C$43</f>
        <v>1320</v>
      </c>
      <c r="H43" s="12">
        <f>H32*$C$38*$C$43</f>
        <v>1980</v>
      </c>
      <c r="I43" s="13">
        <f>I32*$C$38*$C$43</f>
        <v>2970</v>
      </c>
    </row>
    <row r="44" spans="1:9" ht="12.75">
      <c r="A44" s="41"/>
      <c r="B44" s="35" t="s">
        <v>48</v>
      </c>
      <c r="C44" s="22">
        <v>0.03</v>
      </c>
      <c r="D44" s="7" t="s">
        <v>16</v>
      </c>
      <c r="E44" s="10"/>
      <c r="F44" s="7"/>
      <c r="G44" s="12">
        <f>G32*$C$39*$C$44</f>
        <v>2640</v>
      </c>
      <c r="H44" s="12">
        <f>H32*$C$39*$C$44</f>
        <v>3960</v>
      </c>
      <c r="I44" s="13">
        <f>I32*$C$39*$C$44</f>
        <v>5940</v>
      </c>
    </row>
    <row r="45" spans="1:9" ht="12.75">
      <c r="A45" s="41"/>
      <c r="B45" s="35" t="s">
        <v>49</v>
      </c>
      <c r="C45" s="22">
        <v>0.2</v>
      </c>
      <c r="D45" s="7" t="s">
        <v>16</v>
      </c>
      <c r="E45" s="10"/>
      <c r="F45" s="7"/>
      <c r="G45" s="12">
        <f>G33*$C$45</f>
        <v>51700</v>
      </c>
      <c r="H45" s="12">
        <f>H33*$C$45</f>
        <v>51700</v>
      </c>
      <c r="I45" s="13">
        <f>I33*$C$45</f>
        <v>51700</v>
      </c>
    </row>
    <row r="46" spans="1:9" ht="12.75">
      <c r="A46" s="41"/>
      <c r="B46" s="35" t="s">
        <v>54</v>
      </c>
      <c r="C46" s="66">
        <v>1460</v>
      </c>
      <c r="D46" s="7" t="s">
        <v>26</v>
      </c>
      <c r="E46" s="23">
        <v>20</v>
      </c>
      <c r="F46" s="7" t="s">
        <v>55</v>
      </c>
      <c r="G46" s="12">
        <f>$C$46*$E$46</f>
        <v>29200</v>
      </c>
      <c r="H46" s="12">
        <f>$C$46*$E$46</f>
        <v>29200</v>
      </c>
      <c r="I46" s="13">
        <f>$C$46*$E$46</f>
        <v>29200</v>
      </c>
    </row>
    <row r="47" spans="1:9" ht="21.75">
      <c r="A47" s="41" t="s">
        <v>59</v>
      </c>
      <c r="B47" s="35" t="s">
        <v>7</v>
      </c>
      <c r="C47" s="23">
        <v>25</v>
      </c>
      <c r="D47" s="7" t="s">
        <v>60</v>
      </c>
      <c r="E47" s="45">
        <f>C7</f>
        <v>6000</v>
      </c>
      <c r="F47" s="5" t="s">
        <v>61</v>
      </c>
      <c r="G47" s="12">
        <f>$C$47*$E$47</f>
        <v>150000</v>
      </c>
      <c r="H47" s="12">
        <f>$C$47*$E$47</f>
        <v>150000</v>
      </c>
      <c r="I47" s="13">
        <f>$C$47*$E$47</f>
        <v>150000</v>
      </c>
    </row>
    <row r="48" spans="1:9" ht="12.75">
      <c r="A48" s="43"/>
      <c r="B48" s="35" t="s">
        <v>70</v>
      </c>
      <c r="C48" s="25">
        <v>70</v>
      </c>
      <c r="D48" s="7" t="s">
        <v>60</v>
      </c>
      <c r="E48" s="45">
        <f>C8</f>
        <v>0</v>
      </c>
      <c r="F48" s="5" t="s">
        <v>61</v>
      </c>
      <c r="G48" s="12">
        <f>$C$48*$E$48</f>
        <v>0</v>
      </c>
      <c r="H48" s="12">
        <f>$C$48*$E$48</f>
        <v>0</v>
      </c>
      <c r="I48" s="13">
        <f>$C$48*$E$48</f>
        <v>0</v>
      </c>
    </row>
    <row r="49" spans="1:9" ht="12.75">
      <c r="A49" s="43"/>
      <c r="B49" s="38" t="s">
        <v>8</v>
      </c>
      <c r="C49" s="25">
        <v>0</v>
      </c>
      <c r="D49" s="7" t="s">
        <v>60</v>
      </c>
      <c r="E49" s="45">
        <f>C9</f>
        <v>0</v>
      </c>
      <c r="F49" s="5" t="s">
        <v>61</v>
      </c>
      <c r="G49" s="12">
        <f>$C$49*$E$49</f>
        <v>0</v>
      </c>
      <c r="H49" s="12">
        <f>$C$49*$E$49</f>
        <v>0</v>
      </c>
      <c r="I49" s="13">
        <f>$C$49*$E$49</f>
        <v>0</v>
      </c>
    </row>
    <row r="50" spans="1:9" ht="12.75">
      <c r="A50" s="43"/>
      <c r="B50" s="38" t="s">
        <v>9</v>
      </c>
      <c r="C50" s="25">
        <v>0</v>
      </c>
      <c r="D50" s="7" t="s">
        <v>60</v>
      </c>
      <c r="E50" s="45">
        <f>C10</f>
        <v>0</v>
      </c>
      <c r="F50" s="5" t="s">
        <v>61</v>
      </c>
      <c r="G50" s="12">
        <f>$C$50*$E$50</f>
        <v>0</v>
      </c>
      <c r="H50" s="12">
        <f>$C$50*$E$50</f>
        <v>0</v>
      </c>
      <c r="I50" s="13">
        <f>$C$50*$E$50</f>
        <v>0</v>
      </c>
    </row>
    <row r="51" spans="1:9" ht="13.5" thickBot="1">
      <c r="A51" s="42" t="s">
        <v>56</v>
      </c>
      <c r="B51" s="36" t="s">
        <v>57</v>
      </c>
      <c r="C51" s="26">
        <v>0.101</v>
      </c>
      <c r="D51" s="14" t="s">
        <v>28</v>
      </c>
      <c r="E51" s="26">
        <v>25</v>
      </c>
      <c r="F51" s="14" t="s">
        <v>20</v>
      </c>
      <c r="G51" s="16">
        <f>$C$51*$C$30*$E$51</f>
        <v>2777.5</v>
      </c>
      <c r="H51" s="16">
        <f>$C$51*$C$30*$E$51</f>
        <v>2777.5</v>
      </c>
      <c r="I51" s="17">
        <f>$C$51*$C$30*$E$51</f>
        <v>2777.5</v>
      </c>
    </row>
    <row r="52" spans="1:9" ht="13.5" thickBot="1">
      <c r="A52" s="81" t="s">
        <v>58</v>
      </c>
      <c r="B52" s="82"/>
      <c r="C52" s="27"/>
      <c r="D52" s="27"/>
      <c r="E52" s="27"/>
      <c r="F52" s="27"/>
      <c r="G52" s="28">
        <f>SUM(G38:G51)</f>
        <v>311071.6666666666</v>
      </c>
      <c r="H52" s="28">
        <f>SUM(H38:H51)</f>
        <v>329735</v>
      </c>
      <c r="I52" s="29">
        <f>SUM(I38:I51)</f>
        <v>357730</v>
      </c>
    </row>
    <row r="53" spans="1:9" ht="13.5" thickBot="1">
      <c r="A53" s="81" t="s">
        <v>62</v>
      </c>
      <c r="B53" s="82"/>
      <c r="C53" s="27"/>
      <c r="D53" s="27"/>
      <c r="E53" s="27"/>
      <c r="F53" s="27"/>
      <c r="G53" s="30">
        <f>$H$28-G52</f>
        <v>227193.31514155248</v>
      </c>
      <c r="H53" s="28">
        <f>$H$28-H52</f>
        <v>208529.9818082191</v>
      </c>
      <c r="I53" s="29">
        <f>$H$28-I52</f>
        <v>180534.9818082191</v>
      </c>
    </row>
    <row r="54" spans="1:9" ht="15">
      <c r="A54" s="2"/>
      <c r="B54" s="3"/>
      <c r="C54" s="3"/>
      <c r="D54" s="3"/>
      <c r="E54" s="3"/>
      <c r="F54" s="3"/>
      <c r="G54" s="4"/>
      <c r="H54" s="4"/>
      <c r="I54" s="4"/>
    </row>
    <row r="55" spans="1:9" ht="15">
      <c r="A55" s="2"/>
      <c r="B55" s="3"/>
      <c r="C55" s="3"/>
      <c r="D55" s="3"/>
      <c r="E55" s="3"/>
      <c r="F55" s="3"/>
      <c r="G55" s="4"/>
      <c r="H55" s="4"/>
      <c r="I55" s="4"/>
    </row>
    <row r="56" spans="1:9" ht="15">
      <c r="A56" s="2"/>
      <c r="B56" s="3"/>
      <c r="C56" s="3"/>
      <c r="D56" s="3"/>
      <c r="E56" s="3"/>
      <c r="F56" s="3"/>
      <c r="G56" s="4"/>
      <c r="H56" s="4"/>
      <c r="I56" s="4"/>
    </row>
    <row r="57" spans="1:9" ht="15">
      <c r="A57" s="2"/>
      <c r="B57" s="3"/>
      <c r="C57" s="3"/>
      <c r="D57" s="3"/>
      <c r="E57" s="3"/>
      <c r="F57" s="3"/>
      <c r="G57" s="4"/>
      <c r="H57" s="4"/>
      <c r="I57" s="4"/>
    </row>
    <row r="58" spans="1:9" ht="15">
      <c r="A58" s="2"/>
      <c r="B58" s="3"/>
      <c r="C58" s="3"/>
      <c r="D58" s="3"/>
      <c r="E58" s="3"/>
      <c r="F58" s="3"/>
      <c r="G58" s="4"/>
      <c r="H58" s="4"/>
      <c r="I58" s="4"/>
    </row>
    <row r="59" spans="1:9" ht="15">
      <c r="A59" s="2"/>
      <c r="B59" s="3"/>
      <c r="C59" s="3"/>
      <c r="D59" s="3"/>
      <c r="E59" s="3"/>
      <c r="F59" s="3"/>
      <c r="G59" s="4"/>
      <c r="H59" s="4"/>
      <c r="I59" s="4"/>
    </row>
    <row r="60" spans="1:9" ht="15">
      <c r="A60" s="2"/>
      <c r="B60" s="3"/>
      <c r="C60" s="3"/>
      <c r="D60" s="3"/>
      <c r="E60" s="3"/>
      <c r="F60" s="3"/>
      <c r="G60" s="4"/>
      <c r="H60" s="4"/>
      <c r="I60" s="4"/>
    </row>
    <row r="61" spans="1:9" ht="15">
      <c r="A61" s="2"/>
      <c r="B61" s="3"/>
      <c r="C61" s="3"/>
      <c r="D61" s="3"/>
      <c r="E61" s="3"/>
      <c r="F61" s="3"/>
      <c r="G61" s="4"/>
      <c r="H61" s="4"/>
      <c r="I61" s="4"/>
    </row>
    <row r="62" spans="1:9" ht="15">
      <c r="A62" s="2"/>
      <c r="B62" s="3"/>
      <c r="C62" s="3"/>
      <c r="D62" s="3"/>
      <c r="E62" s="3"/>
      <c r="F62" s="3"/>
      <c r="G62" s="4"/>
      <c r="H62" s="4"/>
      <c r="I62" s="4"/>
    </row>
    <row r="63" spans="1:9" ht="15">
      <c r="A63" s="2"/>
      <c r="B63" s="3"/>
      <c r="C63" s="3"/>
      <c r="D63" s="3"/>
      <c r="E63" s="3"/>
      <c r="F63" s="3"/>
      <c r="G63" s="4"/>
      <c r="H63" s="4"/>
      <c r="I63" s="4"/>
    </row>
    <row r="64" spans="1:9" ht="15">
      <c r="A64" s="2"/>
      <c r="B64" s="3"/>
      <c r="C64" s="3"/>
      <c r="D64" s="3"/>
      <c r="E64" s="3"/>
      <c r="F64" s="3"/>
      <c r="G64" s="4"/>
      <c r="H64" s="4"/>
      <c r="I64" s="4"/>
    </row>
    <row r="65" spans="1:9" ht="15">
      <c r="A65" s="2"/>
      <c r="B65" s="3"/>
      <c r="C65" s="3"/>
      <c r="D65" s="3"/>
      <c r="E65" s="3"/>
      <c r="F65" s="3"/>
      <c r="G65" s="4"/>
      <c r="H65" s="4"/>
      <c r="I65" s="4"/>
    </row>
  </sheetData>
  <mergeCells count="7">
    <mergeCell ref="H1:I1"/>
    <mergeCell ref="A52:B52"/>
    <mergeCell ref="A53:B53"/>
    <mergeCell ref="G29:I29"/>
    <mergeCell ref="G31:I31"/>
    <mergeCell ref="G37:I37"/>
    <mergeCell ref="A24:A27"/>
  </mergeCells>
  <printOptions/>
  <pageMargins left="0.75" right="0.16" top="1" bottom="1" header="0.4921259845" footer="0.4921259845"/>
  <pageSetup fitToHeight="1" fitToWidth="1" horizontalDpi="300" verticalDpi="300" orientation="portrait" paperSize="9" scale="80" r:id="rId3"/>
  <headerFooter alignWithMargins="0">
    <oddHeader>&amp;C&amp;"Times New Roman,Fett"&amp;16Grobberechnung einer 500 kW - Biogasanlage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Elmar</dc:creator>
  <cp:keywords/>
  <dc:description/>
  <cp:lastModifiedBy>Wetter</cp:lastModifiedBy>
  <cp:lastPrinted>2004-04-04T08:21:21Z</cp:lastPrinted>
  <dcterms:created xsi:type="dcterms:W3CDTF">2002-09-27T14:51:45Z</dcterms:created>
  <dcterms:modified xsi:type="dcterms:W3CDTF">2004-04-05T11:27:17Z</dcterms:modified>
  <cp:category/>
  <cp:version/>
  <cp:contentType/>
  <cp:contentStatus/>
</cp:coreProperties>
</file>